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VolCalc" sheetId="1" r:id="rId1"/>
    <sheet name="BSM-prob" sheetId="4" r:id="rId2"/>
  </sheets>
  <calcPr calcId="145621"/>
</workbook>
</file>

<file path=xl/calcChain.xml><?xml version="1.0" encoding="utf-8"?>
<calcChain xmlns="http://schemas.openxmlformats.org/spreadsheetml/2006/main">
  <c r="K19" i="4" l="1"/>
  <c r="K20" i="4"/>
  <c r="K16" i="4" l="1"/>
  <c r="K15" i="4"/>
  <c r="K12" i="4"/>
  <c r="K11" i="4"/>
  <c r="K8" i="4"/>
  <c r="K7" i="4"/>
  <c r="K4" i="4"/>
  <c r="K3" i="4"/>
  <c r="C25" i="1" l="1"/>
  <c r="C23" i="1"/>
  <c r="B25" i="1"/>
  <c r="B23" i="1"/>
  <c r="B22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14" i="4"/>
  <c r="B13" i="4"/>
  <c r="B12" i="4"/>
  <c r="B18" i="4" s="1"/>
  <c r="B11" i="4"/>
  <c r="B17" i="4" s="1"/>
  <c r="B20" i="4" l="1"/>
  <c r="B15" i="4"/>
  <c r="B19" i="4" s="1"/>
  <c r="B16" i="4"/>
</calcChain>
</file>

<file path=xl/sharedStrings.xml><?xml version="1.0" encoding="utf-8"?>
<sst xmlns="http://schemas.openxmlformats.org/spreadsheetml/2006/main" count="59" uniqueCount="49">
  <si>
    <t>stock price (S_0)</t>
  </si>
  <si>
    <t>interest rate r</t>
  </si>
  <si>
    <t>volatility (sigma)</t>
  </si>
  <si>
    <t>maturity (T)</t>
  </si>
  <si>
    <t>dividend (q in %)</t>
  </si>
  <si>
    <t>d_1</t>
  </si>
  <si>
    <t>d_2</t>
  </si>
  <si>
    <t>S_0exp(-qT)</t>
  </si>
  <si>
    <t>Phi(d_1)</t>
  </si>
  <si>
    <t>Phi(d_2)</t>
  </si>
  <si>
    <t>Black-Scholes call price</t>
  </si>
  <si>
    <t>Black-Scholes put price</t>
  </si>
  <si>
    <t>Phi(-d_1)</t>
  </si>
  <si>
    <t>Phi(-d_2)</t>
  </si>
  <si>
    <t>Or use put-call parity</t>
  </si>
  <si>
    <t>Delta</t>
  </si>
  <si>
    <t>Formula</t>
  </si>
  <si>
    <t>Call</t>
  </si>
  <si>
    <t>Put</t>
  </si>
  <si>
    <t>Gamma</t>
  </si>
  <si>
    <t>Vega</t>
  </si>
  <si>
    <t>Rho</t>
  </si>
  <si>
    <t>Theta</t>
  </si>
  <si>
    <t>calculation</t>
  </si>
  <si>
    <t xml:space="preserve">Note: Fix cells B4-B9 when entering them to your </t>
  </si>
  <si>
    <t>exp(-qT)Phi(d_1)</t>
  </si>
  <si>
    <t>exp(-qT)[Phi(d_1)-1]</t>
  </si>
  <si>
    <t>[Phi'(d_1)*exp(-qT]/[S_0*sigma*sqrt{T}]</t>
  </si>
  <si>
    <t>Problem 4</t>
  </si>
  <si>
    <t>Week</t>
  </si>
  <si>
    <t>Closing Stock Price ($)</t>
  </si>
  <si>
    <t xml:space="preserve">Price Relative </t>
  </si>
  <si>
    <t xml:space="preserve">Weekly Return </t>
  </si>
  <si>
    <t>ave</t>
  </si>
  <si>
    <t>sample sd</t>
  </si>
  <si>
    <t>Make sure you know the formula for the SD</t>
  </si>
  <si>
    <t>SE</t>
  </si>
  <si>
    <t>S_0*sqrt(T)*[Phi'(d_1)]*exp(-qT)</t>
  </si>
  <si>
    <t>strike price (X)</t>
  </si>
  <si>
    <t>Xexp(-rT)</t>
  </si>
  <si>
    <t>S_0exp(-qT)Phi(d_1)-Xexp(-rT)\Phi(d_2)</t>
  </si>
  <si>
    <t>Xexp(-rt)Phi(-d_2)-S_0exp(-qT)Phi(d_1)</t>
  </si>
  <si>
    <t>THE GREEKS</t>
  </si>
  <si>
    <t>X*T*exp(-rT)*Phi(d_2)</t>
  </si>
  <si>
    <t>-X*T*EXP(-rT)*Phi(-d_2)</t>
  </si>
  <si>
    <t>-(S_0*(Phi'(d_1))*sigma*exp(-q*T))/(2*sqrt(T))+q*S_0*(Phi(d_1))*exp(-q*T)-r*X*exp(-r*T)(Phi(d_2))</t>
  </si>
  <si>
    <t>-(S_0*(Phi'(d_1))*sigma*exp(-q*T))/(2*sqrt(T))-q*S_0*(Phi(d_1))*exp(-q*T)+r*X*exp(-r*T)(Phi(d_2))</t>
  </si>
  <si>
    <t>Problem: Option pricing via analytic solution</t>
  </si>
  <si>
    <t>and Coding the Black-Scholes "Greeks"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</si>
</sst>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581025</xdr:colOff>
          <xdr:row>3</xdr:row>
          <xdr:rowOff>228600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371475</xdr:colOff>
          <xdr:row>3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B25" sqref="B25"/>
    </sheetView>
  </sheetViews>
  <sheetFormatPr defaultRowHeight="15" x14ac:dyDescent="0.25"/>
  <cols>
    <col min="1" max="1" width="12.85546875" bestFit="1" customWidth="1"/>
    <col min="2" max="2" width="11.28515625" bestFit="1" customWidth="1"/>
    <col min="3" max="4" width="16.42578125" bestFit="1" customWidth="1"/>
  </cols>
  <sheetData>
    <row r="1" spans="1:14" ht="18.75" x14ac:dyDescent="0.3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74.25" customHeight="1" x14ac:dyDescent="0.3">
      <c r="A3" s="7" t="s">
        <v>29</v>
      </c>
      <c r="B3" s="7" t="s">
        <v>30</v>
      </c>
      <c r="C3" s="7" t="s">
        <v>31</v>
      </c>
      <c r="D3" s="7" t="s">
        <v>32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thickBot="1" x14ac:dyDescent="0.35">
      <c r="A4" s="8"/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thickBot="1" x14ac:dyDescent="0.35">
      <c r="A5" s="3">
        <v>1</v>
      </c>
      <c r="B5" s="4">
        <v>30.2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 thickBot="1" x14ac:dyDescent="0.35">
      <c r="A6" s="3">
        <v>2</v>
      </c>
      <c r="B6" s="4">
        <v>32</v>
      </c>
      <c r="C6" s="4">
        <f>B6/B5</f>
        <v>1.0596026490066226</v>
      </c>
      <c r="D6" s="4">
        <f>LN(C6)</f>
        <v>5.7893978418902668E-2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thickBot="1" x14ac:dyDescent="0.35">
      <c r="A7" s="3">
        <v>3</v>
      </c>
      <c r="B7" s="4">
        <v>31.1</v>
      </c>
      <c r="C7" s="4">
        <f t="shared" ref="C7:C19" si="0">B7/B6</f>
        <v>0.97187500000000004</v>
      </c>
      <c r="D7" s="4">
        <f t="shared" ref="D7:D19" si="1">LN(C7)</f>
        <v>-2.8528083614538052E-2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thickBot="1" x14ac:dyDescent="0.35">
      <c r="A8" s="3">
        <v>4</v>
      </c>
      <c r="B8" s="4">
        <v>30.1</v>
      </c>
      <c r="C8" s="4">
        <f t="shared" si="0"/>
        <v>0.96784565916398713</v>
      </c>
      <c r="D8" s="4">
        <f t="shared" si="1"/>
        <v>-3.2682647430358418E-2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9.5" thickBot="1" x14ac:dyDescent="0.35">
      <c r="A9" s="3">
        <v>5</v>
      </c>
      <c r="B9" s="4">
        <v>30.2</v>
      </c>
      <c r="C9" s="4">
        <f t="shared" si="0"/>
        <v>1.0033222591362125</v>
      </c>
      <c r="D9" s="4">
        <f t="shared" si="1"/>
        <v>3.3167526259938207E-3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9.5" thickBot="1" x14ac:dyDescent="0.35">
      <c r="A10" s="3">
        <v>6</v>
      </c>
      <c r="B10" s="4">
        <v>30.3</v>
      </c>
      <c r="C10" s="4">
        <f t="shared" si="0"/>
        <v>1.0033112582781458</v>
      </c>
      <c r="D10" s="4">
        <f t="shared" si="1"/>
        <v>3.3057881344996315E-3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9.5" thickBot="1" x14ac:dyDescent="0.35">
      <c r="A11" s="3">
        <v>7</v>
      </c>
      <c r="B11" s="4">
        <v>30.6</v>
      </c>
      <c r="C11" s="4">
        <f t="shared" si="0"/>
        <v>1.0099009900990099</v>
      </c>
      <c r="D11" s="4">
        <f t="shared" si="1"/>
        <v>9.8522964430116395E-3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9.5" thickBot="1" x14ac:dyDescent="0.35">
      <c r="A12" s="3">
        <v>8</v>
      </c>
      <c r="B12" s="4">
        <v>33</v>
      </c>
      <c r="C12" s="4">
        <f t="shared" si="0"/>
        <v>1.0784313725490196</v>
      </c>
      <c r="D12" s="4">
        <f t="shared" si="1"/>
        <v>7.5507552508145101E-2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9.5" thickBot="1" x14ac:dyDescent="0.35">
      <c r="A13" s="3">
        <v>9</v>
      </c>
      <c r="B13" s="4">
        <v>32.9</v>
      </c>
      <c r="C13" s="4">
        <f t="shared" si="0"/>
        <v>0.99696969696969695</v>
      </c>
      <c r="D13" s="4">
        <f t="shared" si="1"/>
        <v>-3.034903695154047E-3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9.5" thickBot="1" x14ac:dyDescent="0.35">
      <c r="A14" s="3">
        <v>10</v>
      </c>
      <c r="B14" s="4">
        <v>33</v>
      </c>
      <c r="C14" s="4">
        <f t="shared" si="0"/>
        <v>1.0030395136778116</v>
      </c>
      <c r="D14" s="4">
        <f t="shared" si="1"/>
        <v>3.0349036951541112E-3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9.5" thickBot="1" x14ac:dyDescent="0.35">
      <c r="A15" s="3">
        <v>11</v>
      </c>
      <c r="B15" s="4">
        <v>33.5</v>
      </c>
      <c r="C15" s="4">
        <f t="shared" si="0"/>
        <v>1.0151515151515151</v>
      </c>
      <c r="D15" s="4">
        <f t="shared" si="1"/>
        <v>1.5037877364540502E-2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9.5" thickBot="1" x14ac:dyDescent="0.35">
      <c r="A16" s="3">
        <v>12</v>
      </c>
      <c r="B16" s="4">
        <v>33.5</v>
      </c>
      <c r="C16" s="4">
        <f t="shared" si="0"/>
        <v>1</v>
      </c>
      <c r="D16" s="4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9.5" thickBot="1" x14ac:dyDescent="0.35">
      <c r="A17" s="3">
        <v>13</v>
      </c>
      <c r="B17" s="4">
        <v>33.700000000000003</v>
      </c>
      <c r="C17" s="4">
        <f t="shared" si="0"/>
        <v>1.0059701492537314</v>
      </c>
      <c r="D17" s="4">
        <f t="shared" si="1"/>
        <v>5.9523985272953517E-3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9.5" thickBot="1" x14ac:dyDescent="0.35">
      <c r="A18" s="3">
        <v>14</v>
      </c>
      <c r="B18" s="4">
        <v>33.5</v>
      </c>
      <c r="C18" s="4">
        <f t="shared" si="0"/>
        <v>0.9940652818991097</v>
      </c>
      <c r="D18" s="4">
        <f t="shared" si="1"/>
        <v>-5.9523985272953847E-3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9.5" thickBot="1" x14ac:dyDescent="0.35">
      <c r="A19" s="3">
        <v>15</v>
      </c>
      <c r="B19" s="4">
        <v>33.200000000000003</v>
      </c>
      <c r="C19" s="4">
        <f t="shared" si="0"/>
        <v>0.99104477611940311</v>
      </c>
      <c r="D19" s="4">
        <f t="shared" si="1"/>
        <v>-8.995562908577762E-3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x14ac:dyDescent="0.3">
      <c r="A21" s="2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x14ac:dyDescent="0.3">
      <c r="A22" s="1" t="s">
        <v>33</v>
      </c>
      <c r="B22" s="2">
        <f>AVERAGE(D6:D19)</f>
        <v>6.7648536815442251E-3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x14ac:dyDescent="0.3">
      <c r="A23" s="1" t="s">
        <v>34</v>
      </c>
      <c r="B23" s="2">
        <f>STDEV(D6:D19)</f>
        <v>2.8836092367612962E-2</v>
      </c>
      <c r="C23" s="2">
        <f>B23*SQRT(52)</f>
        <v>0.20794001923088862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x14ac:dyDescent="0.3">
      <c r="A25" s="1" t="s">
        <v>36</v>
      </c>
      <c r="B25" s="2">
        <f>B23/SQRT(2*14)</f>
        <v>5.4495092276851164E-3</v>
      </c>
      <c r="C25" s="2">
        <f>C23/SQRT(2*14)</f>
        <v>3.9296969893065692E-2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.7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.7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7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4">
    <mergeCell ref="A3:A4"/>
    <mergeCell ref="B3:B4"/>
    <mergeCell ref="C3:C4"/>
    <mergeCell ref="D3:D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6" r:id="rId3">
          <objectPr defaultSize="0" autoPict="0" r:id="rId4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581025</xdr:colOff>
                <xdr:row>3</xdr:row>
                <xdr:rowOff>228600</xdr:rowOff>
              </to>
            </anchor>
          </objectPr>
        </oleObject>
      </mc:Choice>
      <mc:Fallback>
        <oleObject progId="Equation.DSMT4" shapeId="1026" r:id="rId3"/>
      </mc:Fallback>
    </mc:AlternateContent>
    <mc:AlternateContent xmlns:mc="http://schemas.openxmlformats.org/markup-compatibility/2006">
      <mc:Choice Requires="x14">
        <oleObject progId="Equation.DSMT4" shapeId="1025" r:id="rId5">
          <objectPr defaultSize="0" autoPict="0" r:id="rId6">
            <anchor moveWithCells="1" sizeWithCells="1">
              <from>
                <xdr:col>3</xdr:col>
                <xdr:colOff>0</xdr:colOff>
                <xdr:row>3</xdr:row>
                <xdr:rowOff>0</xdr:rowOff>
              </from>
              <to>
                <xdr:col>4</xdr:col>
                <xdr:colOff>371475</xdr:colOff>
                <xdr:row>3</xdr:row>
                <xdr:rowOff>228600</xdr:rowOff>
              </to>
            </anchor>
          </objectPr>
        </oleObject>
      </mc:Choice>
      <mc:Fallback>
        <oleObject progId="Equation.DSMT4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A3" sqref="A3"/>
    </sheetView>
  </sheetViews>
  <sheetFormatPr defaultRowHeight="15" x14ac:dyDescent="0.25"/>
  <cols>
    <col min="1" max="1" width="43.7109375" bestFit="1" customWidth="1"/>
    <col min="2" max="2" width="17.140625" bestFit="1" customWidth="1"/>
    <col min="9" max="9" width="9" customWidth="1"/>
    <col min="11" max="11" width="14.42578125" customWidth="1"/>
    <col min="12" max="12" width="3.28515625" customWidth="1"/>
    <col min="13" max="13" width="10.7109375" bestFit="1" customWidth="1"/>
  </cols>
  <sheetData>
    <row r="1" spans="1:15" ht="18.75" x14ac:dyDescent="0.3">
      <c r="A1" s="2" t="s">
        <v>47</v>
      </c>
      <c r="B1" s="2"/>
      <c r="C1" s="2"/>
      <c r="D1" s="2"/>
      <c r="E1" s="2"/>
      <c r="F1" s="2"/>
      <c r="G1" s="2"/>
      <c r="H1" s="2"/>
      <c r="I1" s="2"/>
      <c r="J1" s="1" t="s">
        <v>42</v>
      </c>
      <c r="K1" s="2"/>
      <c r="L1" s="2"/>
      <c r="M1" s="2"/>
      <c r="N1" s="2"/>
      <c r="O1" s="2"/>
    </row>
    <row r="2" spans="1:15" ht="18.75" x14ac:dyDescent="0.3">
      <c r="A2" s="2" t="s">
        <v>48</v>
      </c>
      <c r="B2" s="2"/>
      <c r="C2" s="1" t="s">
        <v>24</v>
      </c>
      <c r="D2" s="2"/>
      <c r="E2" s="2"/>
      <c r="F2" s="2"/>
      <c r="G2" s="2"/>
      <c r="H2" s="2"/>
      <c r="I2" s="2"/>
      <c r="J2" s="1" t="s">
        <v>15</v>
      </c>
      <c r="K2" s="2"/>
      <c r="L2" s="2"/>
      <c r="M2" s="2" t="s">
        <v>16</v>
      </c>
      <c r="N2" s="2"/>
      <c r="O2" s="2"/>
    </row>
    <row r="3" spans="1:15" ht="18.75" x14ac:dyDescent="0.3">
      <c r="A3" s="2"/>
      <c r="B3" s="2"/>
      <c r="C3" s="2"/>
      <c r="D3" s="1" t="s">
        <v>23</v>
      </c>
      <c r="E3" s="2"/>
      <c r="F3" s="2"/>
      <c r="G3" s="2"/>
      <c r="H3" s="2"/>
      <c r="I3" s="2"/>
      <c r="J3" s="2" t="s">
        <v>17</v>
      </c>
      <c r="K3" s="2">
        <f>EXP(-$B$9*$B$8)*NORMSDIST($B$11)</f>
        <v>0.77913129094266897</v>
      </c>
      <c r="L3" s="2"/>
      <c r="M3" s="2" t="s">
        <v>25</v>
      </c>
      <c r="N3" s="2"/>
      <c r="O3" s="2"/>
    </row>
    <row r="4" spans="1:15" ht="18.75" x14ac:dyDescent="0.3">
      <c r="A4" s="2" t="s">
        <v>0</v>
      </c>
      <c r="B4" s="2">
        <v>42</v>
      </c>
      <c r="C4" s="2"/>
      <c r="D4" s="2"/>
      <c r="E4" s="2"/>
      <c r="F4" s="2"/>
      <c r="G4" s="2"/>
      <c r="H4" s="2"/>
      <c r="I4" s="2"/>
      <c r="J4" s="2" t="s">
        <v>18</v>
      </c>
      <c r="K4" s="2">
        <f>EXP(-$B$9*$B$8)*(NORMSDIST($B$11)-1)</f>
        <v>-0.22086870905733103</v>
      </c>
      <c r="L4" s="2"/>
      <c r="M4" s="2" t="s">
        <v>26</v>
      </c>
      <c r="N4" s="2"/>
      <c r="O4" s="2"/>
    </row>
    <row r="5" spans="1:15" ht="18.75" x14ac:dyDescent="0.3">
      <c r="A5" s="2" t="s">
        <v>38</v>
      </c>
      <c r="B5" s="2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 x14ac:dyDescent="0.3">
      <c r="A6" s="2" t="s">
        <v>1</v>
      </c>
      <c r="B6" s="2">
        <v>0.1</v>
      </c>
      <c r="C6" s="2"/>
      <c r="D6" s="2"/>
      <c r="E6" s="2"/>
      <c r="F6" s="2"/>
      <c r="G6" s="2"/>
      <c r="H6" s="2"/>
      <c r="I6" s="2"/>
      <c r="J6" s="1" t="s">
        <v>19</v>
      </c>
      <c r="K6" s="2"/>
      <c r="L6" s="2"/>
      <c r="M6" s="2"/>
      <c r="N6" s="2"/>
      <c r="O6" s="2"/>
    </row>
    <row r="7" spans="1:15" ht="18.75" x14ac:dyDescent="0.3">
      <c r="A7" s="2" t="s">
        <v>2</v>
      </c>
      <c r="B7" s="2">
        <v>0.2</v>
      </c>
      <c r="C7" s="2"/>
      <c r="D7" s="2"/>
      <c r="E7" s="2"/>
      <c r="F7" s="2"/>
      <c r="G7" s="2"/>
      <c r="H7" s="2"/>
      <c r="I7" s="2"/>
      <c r="J7" s="2" t="s">
        <v>17</v>
      </c>
      <c r="K7" s="2">
        <f>(NORMDIST($B$11, 0, 1, FALSE)*EXP(-$B$9*$B$8))/($B$4*$B$7*SQRT($B$8))</f>
        <v>4.9962670405911853E-2</v>
      </c>
      <c r="L7" s="2"/>
      <c r="M7" s="2" t="s">
        <v>27</v>
      </c>
      <c r="N7" s="2"/>
      <c r="O7" s="2"/>
    </row>
    <row r="8" spans="1:15" ht="18.75" x14ac:dyDescent="0.3">
      <c r="A8" s="2" t="s">
        <v>3</v>
      </c>
      <c r="B8" s="2">
        <v>0.5</v>
      </c>
      <c r="C8" s="2"/>
      <c r="D8" s="2"/>
      <c r="E8" s="2"/>
      <c r="F8" s="2"/>
      <c r="G8" s="2"/>
      <c r="H8" s="2"/>
      <c r="I8" s="2"/>
      <c r="J8" s="2" t="s">
        <v>18</v>
      </c>
      <c r="K8" s="2">
        <f>(NORMDIST($B$11, 0, 1, FALSE)*EXP(-$B$9*$B$8))/($B$4*$B$7*SQRT($B$8))</f>
        <v>4.9962670405911853E-2</v>
      </c>
      <c r="L8" s="2"/>
      <c r="M8" s="2" t="s">
        <v>27</v>
      </c>
      <c r="N8" s="2"/>
      <c r="O8" s="2"/>
    </row>
    <row r="9" spans="1:15" ht="18.75" x14ac:dyDescent="0.3">
      <c r="A9" s="2" t="s">
        <v>4</v>
      </c>
      <c r="B9" s="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A10" s="2"/>
      <c r="B10" s="2"/>
      <c r="C10" s="2"/>
      <c r="D10" s="2"/>
      <c r="E10" s="2"/>
      <c r="F10" s="2"/>
      <c r="G10" s="2"/>
      <c r="H10" s="2"/>
      <c r="I10" s="2"/>
      <c r="J10" s="1" t="s">
        <v>20</v>
      </c>
      <c r="K10" s="2"/>
      <c r="L10" s="2"/>
      <c r="M10" s="2"/>
      <c r="N10" s="2"/>
      <c r="O10" s="2"/>
    </row>
    <row r="11" spans="1:15" ht="18.75" x14ac:dyDescent="0.3">
      <c r="A11" s="2" t="s">
        <v>5</v>
      </c>
      <c r="B11" s="2">
        <f>(LN($B$4/$B$5)+($B$6-$B$9+0.5*($B$7)^2)*$B$8)/($B$7*SQRT($B$8))</f>
        <v>0.76926262810603152</v>
      </c>
      <c r="C11" s="2"/>
      <c r="D11" s="2"/>
      <c r="E11" s="2"/>
      <c r="F11" s="2"/>
      <c r="G11" s="2"/>
      <c r="H11" s="2"/>
      <c r="I11" s="2"/>
      <c r="J11" s="2" t="s">
        <v>17</v>
      </c>
      <c r="K11" s="2">
        <f>$B$4*(SQRT($B$8))*NORMDIST($B$11,0,1,FALSE)*EXP(-$B$9*$B$8)</f>
        <v>8.8134150596028533</v>
      </c>
      <c r="L11" s="2"/>
      <c r="M11" s="2" t="s">
        <v>37</v>
      </c>
      <c r="N11" s="2"/>
      <c r="O11" s="2"/>
    </row>
    <row r="12" spans="1:15" ht="18.75" x14ac:dyDescent="0.3">
      <c r="A12" s="2" t="s">
        <v>6</v>
      </c>
      <c r="B12" s="2">
        <f>(LN($B$4/$B$5)+($B$6-$B$9-0.5*($B$7)^2)*$B$8)/($B$7*SQRT($B$8))</f>
        <v>0.62784127186872218</v>
      </c>
      <c r="C12" s="2"/>
      <c r="D12" s="2"/>
      <c r="E12" s="2"/>
      <c r="F12" s="2"/>
      <c r="G12" s="2"/>
      <c r="H12" s="2"/>
      <c r="I12" s="2"/>
      <c r="J12" s="2" t="s">
        <v>18</v>
      </c>
      <c r="K12" s="2">
        <f>$B$4*(SQRT($B$8))*NORMDIST($B$11,0,1,FALSE)*EXP(-$B$9*$B$8)</f>
        <v>8.8134150596028533</v>
      </c>
      <c r="L12" s="2"/>
      <c r="M12" s="2" t="s">
        <v>37</v>
      </c>
      <c r="N12" s="2"/>
      <c r="O12" s="2"/>
    </row>
    <row r="13" spans="1:15" ht="18.75" x14ac:dyDescent="0.3">
      <c r="A13" s="2" t="s">
        <v>39</v>
      </c>
      <c r="B13" s="2">
        <f>$B$5*EXP(-$B$6*$B$8)</f>
        <v>38.049176980028562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.75" x14ac:dyDescent="0.3">
      <c r="A14" s="2" t="s">
        <v>7</v>
      </c>
      <c r="B14" s="2">
        <f>42*EXP(-$B$9*$B$8)</f>
        <v>42</v>
      </c>
      <c r="C14" s="2"/>
      <c r="D14" s="2"/>
      <c r="E14" s="2"/>
      <c r="F14" s="2"/>
      <c r="G14" s="2"/>
      <c r="H14" s="2"/>
      <c r="I14" s="2"/>
      <c r="J14" s="1" t="s">
        <v>21</v>
      </c>
      <c r="K14" s="2"/>
      <c r="L14" s="2"/>
      <c r="M14" s="2"/>
      <c r="N14" s="2"/>
      <c r="O14" s="2"/>
    </row>
    <row r="15" spans="1:15" ht="18.75" x14ac:dyDescent="0.3">
      <c r="A15" s="2" t="s">
        <v>8</v>
      </c>
      <c r="B15" s="2">
        <f>NORMSDIST($B$11)</f>
        <v>0.77913129094266897</v>
      </c>
      <c r="C15" s="2"/>
      <c r="D15" s="2"/>
      <c r="E15" s="2"/>
      <c r="F15" s="2"/>
      <c r="G15" s="2"/>
      <c r="H15" s="2"/>
      <c r="I15" s="2"/>
      <c r="J15" s="2" t="s">
        <v>17</v>
      </c>
      <c r="K15" s="2">
        <f>$B$5*$B$8*EXP(-$B$6*$B$8)*NORMSDIST($B$12)</f>
        <v>13.982045913360285</v>
      </c>
      <c r="L15" s="2"/>
      <c r="M15" s="2" t="s">
        <v>43</v>
      </c>
      <c r="N15" s="2"/>
      <c r="O15" s="2"/>
    </row>
    <row r="16" spans="1:15" ht="18.75" x14ac:dyDescent="0.3">
      <c r="A16" s="2" t="s">
        <v>9</v>
      </c>
      <c r="B16" s="2">
        <f>NORMSDIST($B$12)</f>
        <v>0.73494603684590865</v>
      </c>
      <c r="C16" s="2"/>
      <c r="D16" s="2"/>
      <c r="E16" s="2"/>
      <c r="F16" s="2"/>
      <c r="G16" s="2"/>
      <c r="H16" s="2"/>
      <c r="I16" s="2"/>
      <c r="J16" s="2" t="s">
        <v>18</v>
      </c>
      <c r="K16" s="2">
        <f>-$B$5*$B$8*EXP(-$B$6*$B$8)*NORMSDIST(-$B$12)</f>
        <v>-5.0425425766539966</v>
      </c>
      <c r="L16" s="2"/>
      <c r="M16" s="5" t="s">
        <v>44</v>
      </c>
      <c r="N16" s="2"/>
      <c r="O16" s="2"/>
    </row>
    <row r="17" spans="1:15" ht="18.75" x14ac:dyDescent="0.3">
      <c r="A17" s="2" t="s">
        <v>12</v>
      </c>
      <c r="B17" s="2">
        <f>NORMSDIST(-$B$11)</f>
        <v>0.22086870905733103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 x14ac:dyDescent="0.3">
      <c r="A18" s="2" t="s">
        <v>13</v>
      </c>
      <c r="B18" s="2">
        <f>NORMSDIST(-$B$12)</f>
        <v>0.26505396315409141</v>
      </c>
      <c r="C18" s="2"/>
      <c r="D18" s="2"/>
      <c r="E18" s="2"/>
      <c r="F18" s="2"/>
      <c r="G18" s="2"/>
      <c r="H18" s="2"/>
      <c r="I18" s="2"/>
      <c r="J18" s="1" t="s">
        <v>22</v>
      </c>
      <c r="K18" s="2"/>
      <c r="L18" s="2"/>
      <c r="M18" s="2"/>
      <c r="N18" s="2"/>
      <c r="O18" s="2"/>
    </row>
    <row r="19" spans="1:15" ht="21" x14ac:dyDescent="0.35">
      <c r="A19" s="9" t="s">
        <v>10</v>
      </c>
      <c r="B19" s="9">
        <f>$B$14*$B$15-$B$13*$B$16</f>
        <v>4.759422392871528</v>
      </c>
      <c r="C19" s="2" t="s">
        <v>40</v>
      </c>
      <c r="D19" s="2"/>
      <c r="E19" s="2"/>
      <c r="F19" s="2"/>
      <c r="G19" s="2"/>
      <c r="H19" s="2"/>
      <c r="I19" s="2"/>
      <c r="J19" s="2" t="s">
        <v>17</v>
      </c>
      <c r="K19" s="6">
        <f>-($B$4*(NORMDIST($B$11,0,1,FALSE))*$B$7*EXP(-$B$9*$B$8))/(2*SQRT($B$8))+$B$9*$B$4*(NORMSDIST($B$11))*EXP(-$B$9*$B$8)-$B$6*$B$5*EXP(-$B$6*$B$8)*(NORMSDIST($B$12))</f>
        <v>-4.559092194592627</v>
      </c>
      <c r="L19" s="2"/>
      <c r="M19" s="5" t="s">
        <v>45</v>
      </c>
      <c r="N19" s="2"/>
      <c r="O19" s="2"/>
    </row>
    <row r="20" spans="1:15" ht="21" x14ac:dyDescent="0.35">
      <c r="A20" s="9" t="s">
        <v>11</v>
      </c>
      <c r="B20" s="9">
        <f>$B$13*$B$18-$B$14*$B$17</f>
        <v>0.80859937290009043</v>
      </c>
      <c r="C20" s="2" t="s">
        <v>41</v>
      </c>
      <c r="D20" s="2"/>
      <c r="E20" s="2"/>
      <c r="F20" s="2"/>
      <c r="G20" s="2"/>
      <c r="H20" s="2"/>
      <c r="I20" s="2"/>
      <c r="J20" s="2" t="s">
        <v>18</v>
      </c>
      <c r="K20" s="6">
        <f>-($B$4*(NORMDIST($B$11,0,1,FALSE))*$B$7*EXP(-$B$9*$B$8))/(2*SQRT($B$8))-$B$9*$B$4*(NORMSDIST($B$11))*EXP(-$B$9*$B$8)+$B$6*$B$5*EXP(-$B$6*$B$8)*(NORMSDIST($B$12))</f>
        <v>1.0337261707514864</v>
      </c>
      <c r="L20" s="2"/>
      <c r="M20" s="5" t="s">
        <v>46</v>
      </c>
      <c r="N20" s="2"/>
      <c r="O20" s="2"/>
    </row>
    <row r="21" spans="1:15" ht="18.75" x14ac:dyDescent="0.3">
      <c r="C21" s="2" t="s">
        <v>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VolCalc</vt:lpstr>
      <vt:lpstr>BSM-prob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</dc:creator>
  <cp:lastModifiedBy>Roge</cp:lastModifiedBy>
  <dcterms:created xsi:type="dcterms:W3CDTF">2013-11-29T09:14:53Z</dcterms:created>
  <dcterms:modified xsi:type="dcterms:W3CDTF">2014-02-04T15:37:29Z</dcterms:modified>
</cp:coreProperties>
</file>